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<sst xmlns="http://schemas.openxmlformats.org/spreadsheetml/2006/main" count="172" uniqueCount="104">
  <si>
    <t>pr. loss in a branched circuit with many inlets and one outlet</t>
  </si>
  <si>
    <t>outlet leading to say a dust collector</t>
  </si>
  <si>
    <t>sr no</t>
  </si>
  <si>
    <t>item</t>
  </si>
  <si>
    <t>symbol</t>
  </si>
  <si>
    <t>unit</t>
  </si>
  <si>
    <t>formula</t>
  </si>
  <si>
    <t>quantity</t>
  </si>
  <si>
    <t xml:space="preserve">             ,4   </t>
  </si>
  <si>
    <t xml:space="preserve">   5,</t>
  </si>
  <si>
    <t>6,</t>
  </si>
  <si>
    <t xml:space="preserve">     2,</t>
  </si>
  <si>
    <t>7,</t>
  </si>
  <si>
    <t xml:space="preserve">        8,</t>
  </si>
  <si>
    <t>branched circuit</t>
  </si>
  <si>
    <t xml:space="preserve">      1,</t>
  </si>
  <si>
    <t>v</t>
  </si>
  <si>
    <t>V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</si>
  <si>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/sec</t>
    </r>
  </si>
  <si>
    <t>m/sec</t>
  </si>
  <si>
    <t>D</t>
  </si>
  <si>
    <t>m</t>
  </si>
  <si>
    <t>t</t>
  </si>
  <si>
    <t>temp</t>
  </si>
  <si>
    <t>dust burden</t>
  </si>
  <si>
    <t>notes:</t>
  </si>
  <si>
    <t>altitude</t>
  </si>
  <si>
    <t>gas</t>
  </si>
  <si>
    <t>air</t>
  </si>
  <si>
    <t>material</t>
  </si>
  <si>
    <t>raw meal</t>
  </si>
  <si>
    <t>density</t>
  </si>
  <si>
    <t>ofair in various</t>
  </si>
  <si>
    <t>sections</t>
  </si>
  <si>
    <t>1-2,</t>
  </si>
  <si>
    <t>7-2,</t>
  </si>
  <si>
    <t>8-3,</t>
  </si>
  <si>
    <t>volumes</t>
  </si>
  <si>
    <t>2-3,</t>
  </si>
  <si>
    <t>3-4,</t>
  </si>
  <si>
    <t>5-6,</t>
  </si>
  <si>
    <t>remps</t>
  </si>
  <si>
    <t>T</t>
  </si>
  <si>
    <t>real density</t>
  </si>
  <si>
    <t>4-5,</t>
  </si>
  <si>
    <t>re</t>
  </si>
  <si>
    <t>gas flow</t>
  </si>
  <si>
    <t>temp.</t>
  </si>
  <si>
    <t>velocity</t>
  </si>
  <si>
    <t>duct dia</t>
  </si>
  <si>
    <t>length</t>
  </si>
  <si>
    <t>lift</t>
  </si>
  <si>
    <t>density@</t>
  </si>
  <si>
    <t>ntp</t>
  </si>
  <si>
    <t>density actual</t>
  </si>
  <si>
    <t>densitywith</t>
  </si>
  <si>
    <t>velocity head</t>
  </si>
  <si>
    <t>velocity pr.</t>
  </si>
  <si>
    <t>ratio wm/wa</t>
  </si>
  <si>
    <t xml:space="preserve">pr. loss </t>
  </si>
  <si>
    <t>friction</t>
  </si>
  <si>
    <t>pr. loss bends</t>
  </si>
  <si>
    <t>pr. loss lift</t>
  </si>
  <si>
    <t>total pr. loss</t>
  </si>
  <si>
    <t>bends  90</t>
  </si>
  <si>
    <r>
      <t>kg/m</t>
    </r>
    <r>
      <rPr>
        <vertAlign val="superscript"/>
        <sz val="10"/>
        <rFont val="Arial"/>
        <family val="2"/>
      </rPr>
      <t>3</t>
    </r>
  </si>
  <si>
    <r>
      <t>gm/nm</t>
    </r>
    <r>
      <rPr>
        <vertAlign val="superscript"/>
        <sz val="10"/>
        <rFont val="Arial"/>
        <family val="2"/>
      </rPr>
      <t>3</t>
    </r>
  </si>
  <si>
    <t>mmwg</t>
  </si>
  <si>
    <t>24/8/10</t>
  </si>
  <si>
    <t>etc</t>
  </si>
  <si>
    <t>equation</t>
  </si>
  <si>
    <t>temp. ambient</t>
  </si>
  <si>
    <r>
      <t xml:space="preserve">o </t>
    </r>
    <r>
      <rPr>
        <sz val="10"/>
        <rFont val="Arial"/>
        <family val="2"/>
      </rPr>
      <t>c</t>
    </r>
  </si>
  <si>
    <t xml:space="preserve">conveying </t>
  </si>
  <si>
    <t>media</t>
  </si>
  <si>
    <t>density at ntp</t>
  </si>
  <si>
    <t>dust conveyed</t>
  </si>
  <si>
    <t xml:space="preserve">o </t>
  </si>
  <si>
    <t>temp.correct</t>
  </si>
  <si>
    <t>altitude correct</t>
  </si>
  <si>
    <t>total correct</t>
  </si>
  <si>
    <t>density at temp.</t>
  </si>
  <si>
    <t>sp. volume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</si>
  <si>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</t>
    </r>
  </si>
  <si>
    <t>ingas</t>
  </si>
  <si>
    <t>vol actual</t>
  </si>
  <si>
    <t>vol.at ntp</t>
  </si>
  <si>
    <r>
      <t>nm</t>
    </r>
    <r>
      <rPr>
        <vertAlign val="superscript"/>
        <sz val="10"/>
        <rFont val="Arial"/>
        <family val="2"/>
      </rPr>
      <t>3</t>
    </r>
  </si>
  <si>
    <t xml:space="preserve">density with </t>
  </si>
  <si>
    <t>dust load</t>
  </si>
  <si>
    <t>k factor 90</t>
  </si>
  <si>
    <t>wm/wa</t>
  </si>
  <si>
    <t xml:space="preserve">                    since points 2 and 3 are junctions, the drafs at these points would be same. For example if draft at</t>
  </si>
  <si>
    <t xml:space="preserve">                   1 is -25mms then draft at 2 along line 1-2 would be  -31mm. Pr. drop along line 7-2 should be also </t>
  </si>
  <si>
    <t xml:space="preserve">                   -31 mm. Since pr. drop in line 7-2 is ~4.5 mms, draft at 2 should be - 26.5 mms. The line 7-2 should</t>
  </si>
  <si>
    <t xml:space="preserve">                    have a damper to control the pr. drop in it sothat this condition can be met. Along line 2-3 draft at 3</t>
  </si>
  <si>
    <t xml:space="preserve">                    would be -34.4 mmm. By same logic, draft at 8 should be ~-30 mms. If diferent, a damper would be</t>
  </si>
  <si>
    <t xml:space="preserve">                    introduced in line 8-3, it should be possible to balance ciruits</t>
  </si>
  <si>
    <t>total pr. drop in circuit including bag filter (item 4-5) would be</t>
  </si>
  <si>
    <t>total</t>
  </si>
  <si>
    <t>draft fan with margin could be say 300 mm wg</t>
  </si>
  <si>
    <t>CALCULATING PRESSURE DROP IN A BRANCHED GAS CIRCUIT</t>
  </si>
  <si>
    <t>***</t>
  </si>
  <si>
    <t>W2.C5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</si>
</sst>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"/>
    <numFmt numFmtId="176" formatCode="0.00000000000000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133350</xdr:rowOff>
    </xdr:from>
    <xdr:to>
      <xdr:col>1</xdr:col>
      <xdr:colOff>361950</xdr:colOff>
      <xdr:row>23</xdr:row>
      <xdr:rowOff>47625</xdr:rowOff>
    </xdr:to>
    <xdr:sp>
      <xdr:nvSpPr>
        <xdr:cNvPr id="1" name="Line 1"/>
        <xdr:cNvSpPr>
          <a:spLocks/>
        </xdr:cNvSpPr>
      </xdr:nvSpPr>
      <xdr:spPr>
        <a:xfrm>
          <a:off x="809625" y="19145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18</xdr:row>
      <xdr:rowOff>152400</xdr:rowOff>
    </xdr:from>
    <xdr:to>
      <xdr:col>1</xdr:col>
      <xdr:colOff>752475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809625" y="3067050"/>
          <a:ext cx="390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12</xdr:row>
      <xdr:rowOff>0</xdr:rowOff>
    </xdr:from>
    <xdr:to>
      <xdr:col>1</xdr:col>
      <xdr:colOff>638175</xdr:colOff>
      <xdr:row>13</xdr:row>
      <xdr:rowOff>104775</xdr:rowOff>
    </xdr:to>
    <xdr:sp>
      <xdr:nvSpPr>
        <xdr:cNvPr id="3" name="Oval 4"/>
        <xdr:cNvSpPr>
          <a:spLocks/>
        </xdr:cNvSpPr>
      </xdr:nvSpPr>
      <xdr:spPr>
        <a:xfrm>
          <a:off x="809625" y="1943100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152400</xdr:rowOff>
    </xdr:from>
    <xdr:to>
      <xdr:col>4</xdr:col>
      <xdr:colOff>609600</xdr:colOff>
      <xdr:row>11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933450" y="19335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12</xdr:row>
      <xdr:rowOff>0</xdr:rowOff>
    </xdr:from>
    <xdr:to>
      <xdr:col>3</xdr:col>
      <xdr:colOff>504825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581150" y="1943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0</xdr:rowOff>
    </xdr:from>
    <xdr:to>
      <xdr:col>5</xdr:col>
      <xdr:colOff>200025</xdr:colOff>
      <xdr:row>13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2952750" y="1781175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76200</xdr:colOff>
      <xdr:row>12</xdr:row>
      <xdr:rowOff>9525</xdr:rowOff>
    </xdr:to>
    <xdr:sp>
      <xdr:nvSpPr>
        <xdr:cNvPr id="7" name="Line 8"/>
        <xdr:cNvSpPr>
          <a:spLocks/>
        </xdr:cNvSpPr>
      </xdr:nvSpPr>
      <xdr:spPr>
        <a:xfrm>
          <a:off x="3533775" y="1952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133350</xdr:rowOff>
    </xdr:from>
    <xdr:to>
      <xdr:col>1</xdr:col>
      <xdr:colOff>485775</xdr:colOff>
      <xdr:row>23</xdr:row>
      <xdr:rowOff>38100</xdr:rowOff>
    </xdr:to>
    <xdr:sp>
      <xdr:nvSpPr>
        <xdr:cNvPr id="8" name="Line 9"/>
        <xdr:cNvSpPr>
          <a:spLocks/>
        </xdr:cNvSpPr>
      </xdr:nvSpPr>
      <xdr:spPr>
        <a:xfrm flipH="1" flipV="1">
          <a:off x="904875" y="3533775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114300</xdr:rowOff>
    </xdr:from>
    <xdr:to>
      <xdr:col>6</xdr:col>
      <xdr:colOff>333375</xdr:colOff>
      <xdr:row>12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3838575" y="20574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66675</xdr:rowOff>
    </xdr:from>
    <xdr:to>
      <xdr:col>2</xdr:col>
      <xdr:colOff>9525</xdr:colOff>
      <xdr:row>20</xdr:row>
      <xdr:rowOff>133350</xdr:rowOff>
    </xdr:to>
    <xdr:sp>
      <xdr:nvSpPr>
        <xdr:cNvPr id="10" name="Line 11"/>
        <xdr:cNvSpPr>
          <a:spLocks/>
        </xdr:cNvSpPr>
      </xdr:nvSpPr>
      <xdr:spPr>
        <a:xfrm flipH="1" flipV="1">
          <a:off x="1047750" y="3143250"/>
          <a:ext cx="190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38100</xdr:rowOff>
    </xdr:from>
    <xdr:to>
      <xdr:col>3</xdr:col>
      <xdr:colOff>323850</xdr:colOff>
      <xdr:row>14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1800225" y="214312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104775</xdr:rowOff>
    </xdr:from>
    <xdr:to>
      <xdr:col>1</xdr:col>
      <xdr:colOff>438150</xdr:colOff>
      <xdr:row>17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876300" y="253365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57150</xdr:rowOff>
    </xdr:from>
    <xdr:to>
      <xdr:col>2</xdr:col>
      <xdr:colOff>228600</xdr:colOff>
      <xdr:row>11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1247775" y="1838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2"/>
  <sheetViews>
    <sheetView tabSelected="1" zoomScalePageLayoutView="0" workbookViewId="0" topLeftCell="A61">
      <selection activeCell="H88" sqref="H88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7.7109375" style="0" customWidth="1"/>
    <col min="5" max="5" width="14.7109375" style="0" customWidth="1"/>
    <col min="6" max="6" width="7.57421875" style="0" customWidth="1"/>
  </cols>
  <sheetData>
    <row r="3" spans="2:3" ht="12.75">
      <c r="B3" s="12" t="s">
        <v>103</v>
      </c>
      <c r="C3" s="12"/>
    </row>
    <row r="4" spans="2:3" ht="12.75">
      <c r="B4" s="10"/>
      <c r="C4" s="10"/>
    </row>
    <row r="5" spans="2:9" ht="12.75">
      <c r="B5" s="10"/>
      <c r="C5" s="12" t="s">
        <v>101</v>
      </c>
      <c r="D5" s="12"/>
      <c r="E5" s="12"/>
      <c r="F5" s="12"/>
      <c r="G5" s="12"/>
      <c r="H5" s="12"/>
      <c r="I5" s="12"/>
    </row>
    <row r="7" spans="2:6" ht="12.75">
      <c r="B7" s="13" t="s">
        <v>0</v>
      </c>
      <c r="C7" s="13"/>
      <c r="D7" s="13"/>
      <c r="E7" s="13"/>
      <c r="F7" s="13"/>
    </row>
    <row r="8" spans="2:6" ht="12.75">
      <c r="B8" s="13" t="s">
        <v>1</v>
      </c>
      <c r="C8" s="13"/>
      <c r="D8" s="13"/>
      <c r="E8" s="13"/>
      <c r="F8" s="13"/>
    </row>
    <row r="10" spans="1:6" ht="12.75">
      <c r="A10" t="s">
        <v>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</row>
    <row r="11" spans="5:6" ht="12.75">
      <c r="E11" t="s">
        <v>8</v>
      </c>
      <c r="F11" t="s">
        <v>9</v>
      </c>
    </row>
    <row r="12" spans="4:7" ht="12.75">
      <c r="D12">
        <v>3</v>
      </c>
      <c r="G12" t="s">
        <v>10</v>
      </c>
    </row>
    <row r="15" ht="12.75">
      <c r="C15" t="s">
        <v>13</v>
      </c>
    </row>
    <row r="18" ht="12.75">
      <c r="E18" t="s">
        <v>14</v>
      </c>
    </row>
    <row r="19" ht="12.75">
      <c r="B19" t="s">
        <v>11</v>
      </c>
    </row>
    <row r="22" spans="2:3" ht="12.75">
      <c r="B22" t="s">
        <v>16</v>
      </c>
      <c r="C22" t="s">
        <v>12</v>
      </c>
    </row>
    <row r="24" ht="12.75">
      <c r="B24" t="s">
        <v>15</v>
      </c>
    </row>
    <row r="25" spans="3:5" ht="12.75">
      <c r="C25" t="s">
        <v>17</v>
      </c>
      <c r="D25" t="s">
        <v>16</v>
      </c>
      <c r="E25" t="s">
        <v>20</v>
      </c>
    </row>
    <row r="26" spans="3:10" ht="14.25">
      <c r="C26" t="s">
        <v>18</v>
      </c>
      <c r="D26" t="s">
        <v>19</v>
      </c>
      <c r="E26" t="s">
        <v>21</v>
      </c>
      <c r="F26" t="s">
        <v>23</v>
      </c>
      <c r="G26" t="s">
        <v>24</v>
      </c>
      <c r="I26" t="s">
        <v>22</v>
      </c>
      <c r="J26" t="s">
        <v>42</v>
      </c>
    </row>
    <row r="27" spans="9:10" ht="12.75">
      <c r="I27">
        <v>100</v>
      </c>
      <c r="J27">
        <v>373</v>
      </c>
    </row>
    <row r="28" spans="9:10" ht="12.75">
      <c r="I28">
        <v>60</v>
      </c>
      <c r="J28">
        <v>333</v>
      </c>
    </row>
    <row r="29" spans="2:10" ht="12.75">
      <c r="B29">
        <v>1</v>
      </c>
      <c r="C29">
        <v>20</v>
      </c>
      <c r="D29">
        <v>16</v>
      </c>
      <c r="F29">
        <v>100</v>
      </c>
      <c r="G29">
        <v>100</v>
      </c>
      <c r="I29">
        <f>364.23-273</f>
        <v>91.23000000000002</v>
      </c>
      <c r="J29" s="5">
        <f>+((14.64*373)+(4.099*333))/18.74</f>
        <v>364.2308964781217</v>
      </c>
    </row>
    <row r="30" spans="2:10" ht="12.75">
      <c r="B30">
        <v>7</v>
      </c>
      <c r="C30">
        <v>5</v>
      </c>
      <c r="D30">
        <v>18</v>
      </c>
      <c r="F30">
        <v>60</v>
      </c>
      <c r="G30">
        <v>50</v>
      </c>
      <c r="I30">
        <v>60</v>
      </c>
      <c r="J30">
        <v>333</v>
      </c>
    </row>
    <row r="31" spans="2:10" ht="12.75">
      <c r="B31">
        <v>2</v>
      </c>
      <c r="C31">
        <v>25</v>
      </c>
      <c r="D31">
        <v>16</v>
      </c>
      <c r="F31">
        <v>91</v>
      </c>
      <c r="G31" s="3">
        <f>+(14.64*100+4.1*50)/18.74</f>
        <v>89.06083244397013</v>
      </c>
      <c r="I31">
        <v>82</v>
      </c>
      <c r="J31" s="5">
        <f>+(8.2*333+18.74*364)/26.94</f>
        <v>354.5642167780252</v>
      </c>
    </row>
    <row r="32" spans="2:9" ht="12.75">
      <c r="B32">
        <v>8</v>
      </c>
      <c r="C32">
        <v>10</v>
      </c>
      <c r="D32">
        <v>18</v>
      </c>
      <c r="F32">
        <v>60</v>
      </c>
      <c r="G32">
        <v>50</v>
      </c>
      <c r="I32" s="4">
        <f>26.94*(273+82)/273</f>
        <v>35.03186813186814</v>
      </c>
    </row>
    <row r="33" spans="2:9" ht="12.75">
      <c r="B33">
        <v>3</v>
      </c>
      <c r="C33">
        <v>35</v>
      </c>
      <c r="D33">
        <v>16</v>
      </c>
      <c r="F33">
        <v>82</v>
      </c>
      <c r="G33">
        <v>77</v>
      </c>
      <c r="I33">
        <f>1.1*35</f>
        <v>38.5</v>
      </c>
    </row>
    <row r="34" spans="2:7" ht="12.75">
      <c r="B34">
        <v>4</v>
      </c>
      <c r="C34">
        <v>35</v>
      </c>
      <c r="D34">
        <v>16</v>
      </c>
      <c r="F34">
        <v>80</v>
      </c>
      <c r="G34">
        <v>77</v>
      </c>
    </row>
    <row r="35" spans="2:9" ht="12.75">
      <c r="B35">
        <v>5</v>
      </c>
      <c r="C35">
        <v>40</v>
      </c>
      <c r="F35">
        <v>80</v>
      </c>
      <c r="I35" s="4">
        <f>+(89*18.74+8.2*50)/26.94</f>
        <v>77.12917594654787</v>
      </c>
    </row>
    <row r="36" spans="2:7" ht="12.75">
      <c r="B36">
        <v>6</v>
      </c>
      <c r="C36">
        <v>40</v>
      </c>
      <c r="D36">
        <v>16</v>
      </c>
      <c r="F36">
        <v>75</v>
      </c>
      <c r="G36">
        <v>0</v>
      </c>
    </row>
    <row r="37" ht="12.75">
      <c r="J37" t="s">
        <v>43</v>
      </c>
    </row>
    <row r="38" spans="2:12" ht="12.75">
      <c r="B38" t="s">
        <v>25</v>
      </c>
      <c r="J38" s="1" t="s">
        <v>34</v>
      </c>
      <c r="L38" s="3">
        <f>+(0.1+0.94)/((0.1/960)+(1/0.94))</f>
        <v>0.9775042860386588</v>
      </c>
    </row>
    <row r="39" spans="2:12" ht="12.75">
      <c r="B39" t="s">
        <v>26</v>
      </c>
      <c r="D39" t="s">
        <v>21</v>
      </c>
      <c r="G39">
        <v>0</v>
      </c>
      <c r="J39" t="s">
        <v>35</v>
      </c>
      <c r="L39" s="3">
        <f>+(0.05+1.06)/((0.05/960)+(1/1.06))</f>
        <v>1.1765350454610322</v>
      </c>
    </row>
    <row r="40" spans="2:12" ht="12.75">
      <c r="B40" t="s">
        <v>27</v>
      </c>
      <c r="G40" t="s">
        <v>28</v>
      </c>
      <c r="J40" s="1" t="s">
        <v>38</v>
      </c>
      <c r="L40">
        <f>+(0.089+1.01)</f>
        <v>1.099</v>
      </c>
    </row>
    <row r="41" spans="2:5" ht="12.75">
      <c r="B41" t="s">
        <v>29</v>
      </c>
      <c r="E41" t="s">
        <v>30</v>
      </c>
    </row>
    <row r="42" spans="2:9" ht="12.75">
      <c r="B42" t="s">
        <v>31</v>
      </c>
      <c r="G42">
        <v>960</v>
      </c>
      <c r="I42" t="s">
        <v>45</v>
      </c>
    </row>
    <row r="43" ht="12.75">
      <c r="B43" t="s">
        <v>31</v>
      </c>
    </row>
    <row r="44" ht="12.75">
      <c r="B44" t="s">
        <v>32</v>
      </c>
    </row>
    <row r="45" ht="12.75">
      <c r="B45" t="s">
        <v>33</v>
      </c>
    </row>
    <row r="46" spans="2:9" ht="12.75">
      <c r="B46" s="1" t="s">
        <v>34</v>
      </c>
      <c r="G46" s="3">
        <f>1.29*273/(273+F29)</f>
        <v>0.9441554959785523</v>
      </c>
      <c r="I46" s="3">
        <f>1.29*(273/((273+77)))</f>
        <v>1.0062</v>
      </c>
    </row>
    <row r="47" spans="2:7" ht="12.75">
      <c r="B47" t="s">
        <v>35</v>
      </c>
      <c r="G47" s="3">
        <f>1.29*273/(273+F30)</f>
        <v>1.0575675675675675</v>
      </c>
    </row>
    <row r="48" spans="2:7" ht="12.75">
      <c r="B48" s="1" t="s">
        <v>36</v>
      </c>
      <c r="G48" s="3">
        <f>273/(273+F32)*1.29</f>
        <v>1.0575675675675675</v>
      </c>
    </row>
    <row r="49" spans="2:7" ht="12.75">
      <c r="B49" s="1" t="s">
        <v>39</v>
      </c>
      <c r="G49">
        <v>1.01</v>
      </c>
    </row>
    <row r="50" spans="2:7" ht="12.75">
      <c r="B50" s="1" t="s">
        <v>44</v>
      </c>
      <c r="G50">
        <v>1</v>
      </c>
    </row>
    <row r="51" spans="2:7" ht="12.75">
      <c r="B51" s="1" t="s">
        <v>40</v>
      </c>
      <c r="G51">
        <v>1</v>
      </c>
    </row>
    <row r="52" ht="12.75">
      <c r="B52" s="1" t="s">
        <v>37</v>
      </c>
    </row>
    <row r="53" spans="2:9" ht="12.75">
      <c r="B53" t="s">
        <v>34</v>
      </c>
      <c r="G53" s="3">
        <f>+C29*(273/(273+F29))</f>
        <v>14.638069705093834</v>
      </c>
      <c r="I53" s="3"/>
    </row>
    <row r="54" spans="2:7" ht="12.75">
      <c r="B54" s="1" t="s">
        <v>35</v>
      </c>
      <c r="G54" s="2">
        <f>+C30*(273/(273+F30))</f>
        <v>4.0990990990990985</v>
      </c>
    </row>
    <row r="55" spans="2:7" ht="12.75">
      <c r="B55" t="s">
        <v>38</v>
      </c>
      <c r="G55" s="3">
        <f>+G53+G54</f>
        <v>18.737168804192933</v>
      </c>
    </row>
    <row r="56" ht="12.75">
      <c r="B56" s="1"/>
    </row>
    <row r="58" spans="2:7" ht="12.75">
      <c r="B58" t="s">
        <v>36</v>
      </c>
      <c r="G58" s="3">
        <f>+C32*(273/(273+F32))</f>
        <v>8.198198198198197</v>
      </c>
    </row>
    <row r="59" spans="2:7" ht="12.75">
      <c r="B59" s="1" t="s">
        <v>39</v>
      </c>
      <c r="G59" s="3">
        <f>+G55+G58</f>
        <v>26.935367002391132</v>
      </c>
    </row>
    <row r="60" spans="2:7" ht="12.75">
      <c r="B60" t="s">
        <v>40</v>
      </c>
      <c r="G60" s="3">
        <f>1.1*G59</f>
        <v>29.628903702630247</v>
      </c>
    </row>
    <row r="62" ht="12.75">
      <c r="B62" t="s">
        <v>41</v>
      </c>
    </row>
    <row r="63" ht="12.75">
      <c r="B63" t="s">
        <v>34</v>
      </c>
    </row>
    <row r="64" ht="12.75">
      <c r="B64" t="s">
        <v>35</v>
      </c>
    </row>
    <row r="65" ht="12.75">
      <c r="B65" t="s">
        <v>38</v>
      </c>
    </row>
    <row r="66" ht="12.75">
      <c r="B66" t="s">
        <v>36</v>
      </c>
    </row>
    <row r="67" spans="2:12" ht="12.75">
      <c r="B67" s="1">
        <v>40241</v>
      </c>
      <c r="H67" t="s">
        <v>38</v>
      </c>
      <c r="I67" t="s">
        <v>36</v>
      </c>
      <c r="J67" s="1" t="s">
        <v>39</v>
      </c>
      <c r="K67" t="s">
        <v>44</v>
      </c>
      <c r="L67" t="s">
        <v>40</v>
      </c>
    </row>
    <row r="68" ht="12.75">
      <c r="B68" t="s">
        <v>40</v>
      </c>
    </row>
    <row r="69" spans="6:12" ht="12.75">
      <c r="F69" t="s">
        <v>34</v>
      </c>
      <c r="G69" t="s">
        <v>35</v>
      </c>
      <c r="H69">
        <v>25</v>
      </c>
      <c r="I69">
        <v>10</v>
      </c>
      <c r="J69">
        <v>35</v>
      </c>
      <c r="L69">
        <v>38</v>
      </c>
    </row>
    <row r="71" spans="2:12" ht="14.25">
      <c r="B71" t="s">
        <v>46</v>
      </c>
      <c r="C71" t="s">
        <v>18</v>
      </c>
      <c r="F71">
        <v>20</v>
      </c>
      <c r="G71">
        <v>5</v>
      </c>
      <c r="H71">
        <v>18</v>
      </c>
      <c r="I71">
        <v>18</v>
      </c>
      <c r="J71">
        <v>18</v>
      </c>
      <c r="K71">
        <v>0</v>
      </c>
      <c r="L71">
        <v>16</v>
      </c>
    </row>
    <row r="72" spans="2:12" ht="12.75">
      <c r="B72" t="s">
        <v>47</v>
      </c>
      <c r="H72" s="7">
        <f>+POWER((1.274*I69/I71),0.5)</f>
        <v>0.8412952976082642</v>
      </c>
      <c r="I72" s="7">
        <f>+POWER((1.274*J69/J71),0.5)</f>
        <v>1.5739193823770714</v>
      </c>
      <c r="J72" s="7">
        <f>+POWER((1.274*J69/J71),0.5)</f>
        <v>1.5739193823770714</v>
      </c>
      <c r="K72" s="7"/>
      <c r="L72" s="7">
        <f>+POWER((1.274*L69/L71),0.5)</f>
        <v>1.7394683095704848</v>
      </c>
    </row>
    <row r="73" spans="2:12" ht="12.75">
      <c r="B73" t="s">
        <v>48</v>
      </c>
      <c r="C73" t="s">
        <v>19</v>
      </c>
      <c r="F73">
        <v>18</v>
      </c>
      <c r="G73">
        <v>18</v>
      </c>
      <c r="H73">
        <v>30</v>
      </c>
      <c r="I73">
        <v>15</v>
      </c>
      <c r="J73">
        <v>10</v>
      </c>
      <c r="L73">
        <v>15</v>
      </c>
    </row>
    <row r="74" spans="2:12" ht="12.75">
      <c r="B74" t="s">
        <v>49</v>
      </c>
      <c r="C74" t="s">
        <v>21</v>
      </c>
      <c r="F74" s="7">
        <f>+POWER((1.274*F71/F73),0.5)</f>
        <v>1.1897712198383166</v>
      </c>
      <c r="G74" s="7">
        <f>+POWER((1.274*H69/H71),0.5)</f>
        <v>1.330204662615661</v>
      </c>
      <c r="H74">
        <v>10</v>
      </c>
      <c r="I74">
        <v>10</v>
      </c>
      <c r="J74">
        <v>0</v>
      </c>
      <c r="K74">
        <v>0</v>
      </c>
      <c r="L74">
        <v>0</v>
      </c>
    </row>
    <row r="75" spans="2:12" ht="12.75">
      <c r="B75" t="s">
        <v>50</v>
      </c>
      <c r="C75" t="s">
        <v>21</v>
      </c>
      <c r="F75">
        <v>20</v>
      </c>
      <c r="G75">
        <v>10</v>
      </c>
      <c r="H75">
        <v>1</v>
      </c>
      <c r="I75">
        <v>0</v>
      </c>
      <c r="J75">
        <v>0</v>
      </c>
      <c r="L75">
        <v>1</v>
      </c>
    </row>
    <row r="76" spans="2:12" ht="12.75">
      <c r="B76" t="s">
        <v>51</v>
      </c>
      <c r="C76" t="s">
        <v>21</v>
      </c>
      <c r="F76">
        <v>20</v>
      </c>
      <c r="G76">
        <v>9</v>
      </c>
      <c r="H76">
        <v>0</v>
      </c>
      <c r="I76">
        <v>1</v>
      </c>
      <c r="J76">
        <v>0</v>
      </c>
      <c r="L76">
        <v>0</v>
      </c>
    </row>
    <row r="77" spans="2:12" ht="12.75">
      <c r="B77" t="s">
        <v>64</v>
      </c>
      <c r="F77">
        <v>0</v>
      </c>
      <c r="G77">
        <v>0</v>
      </c>
      <c r="H77">
        <v>90</v>
      </c>
      <c r="I77">
        <v>60</v>
      </c>
      <c r="J77">
        <v>80</v>
      </c>
      <c r="L77">
        <v>75</v>
      </c>
    </row>
    <row r="78" spans="2:7" ht="12.75">
      <c r="B78">
        <v>60</v>
      </c>
      <c r="F78">
        <v>0</v>
      </c>
      <c r="G78">
        <v>1</v>
      </c>
    </row>
    <row r="79" spans="2:7" ht="14.25">
      <c r="B79" t="s">
        <v>47</v>
      </c>
      <c r="C79" s="6" t="s">
        <v>77</v>
      </c>
      <c r="F79">
        <v>100</v>
      </c>
      <c r="G79">
        <v>100</v>
      </c>
    </row>
    <row r="80" spans="2:12" ht="12.75">
      <c r="B80" t="s">
        <v>26</v>
      </c>
      <c r="C80" t="s">
        <v>21</v>
      </c>
      <c r="H80">
        <v>1.29</v>
      </c>
      <c r="I80">
        <v>1.29</v>
      </c>
      <c r="J80">
        <v>1.29</v>
      </c>
      <c r="K80">
        <v>1.29</v>
      </c>
      <c r="L80">
        <v>1.29</v>
      </c>
    </row>
    <row r="81" spans="2:12" ht="12.75">
      <c r="B81" t="s">
        <v>52</v>
      </c>
      <c r="H81">
        <v>0.97</v>
      </c>
      <c r="I81">
        <v>1.06</v>
      </c>
      <c r="J81">
        <v>1</v>
      </c>
      <c r="K81">
        <v>1</v>
      </c>
      <c r="L81">
        <v>1.01</v>
      </c>
    </row>
    <row r="82" spans="2:12" ht="14.25">
      <c r="B82" t="s">
        <v>53</v>
      </c>
      <c r="C82" t="s">
        <v>65</v>
      </c>
      <c r="F82">
        <v>1.29</v>
      </c>
      <c r="G82">
        <v>1.29</v>
      </c>
      <c r="H82">
        <v>178</v>
      </c>
      <c r="I82">
        <v>100</v>
      </c>
      <c r="J82">
        <v>154</v>
      </c>
      <c r="K82">
        <f>-L8</f>
        <v>0</v>
      </c>
      <c r="L82">
        <v>140</v>
      </c>
    </row>
    <row r="83" spans="2:7" ht="12.75">
      <c r="B83" t="s">
        <v>54</v>
      </c>
      <c r="F83">
        <v>0.94</v>
      </c>
      <c r="G83">
        <v>1.06</v>
      </c>
    </row>
    <row r="84" spans="2:12" ht="14.25">
      <c r="B84" t="s">
        <v>24</v>
      </c>
      <c r="C84" t="s">
        <v>66</v>
      </c>
      <c r="F84">
        <v>200</v>
      </c>
      <c r="G84">
        <v>100</v>
      </c>
      <c r="H84">
        <v>1.14</v>
      </c>
      <c r="I84">
        <v>1.14</v>
      </c>
      <c r="J84">
        <v>1.14</v>
      </c>
      <c r="K84">
        <v>1.14</v>
      </c>
      <c r="L84">
        <v>1.14</v>
      </c>
    </row>
    <row r="85" ht="12.75">
      <c r="B85" t="s">
        <v>55</v>
      </c>
    </row>
    <row r="86" spans="2:7" ht="14.25">
      <c r="B86" t="s">
        <v>29</v>
      </c>
      <c r="C86" t="s">
        <v>65</v>
      </c>
      <c r="F86">
        <v>1.14</v>
      </c>
      <c r="G86">
        <v>1.22</v>
      </c>
    </row>
    <row r="88" spans="8:12" ht="12.75">
      <c r="H88" s="3">
        <f>+POWER(H71,2)/19.62</f>
        <v>16.513761467889907</v>
      </c>
      <c r="I88" s="3">
        <f>+POWER(I71,2)/19.62</f>
        <v>16.513761467889907</v>
      </c>
      <c r="J88" s="3">
        <f>+POWER(J71,2)/19.62</f>
        <v>16.513761467889907</v>
      </c>
      <c r="K88" s="3">
        <f>+POWER(K71,2)/19.62</f>
        <v>0</v>
      </c>
      <c r="L88" s="3">
        <f>+POWER(L71,2)/19.62</f>
        <v>13.047910295616717</v>
      </c>
    </row>
    <row r="89" spans="8:12" ht="12.75">
      <c r="H89" s="4">
        <f>+H88*H84</f>
        <v>18.825688073394492</v>
      </c>
      <c r="I89" s="4">
        <f>+I88*I84</f>
        <v>18.825688073394492</v>
      </c>
      <c r="J89" s="4">
        <f>+J88*J84</f>
        <v>18.825688073394492</v>
      </c>
      <c r="K89" s="4">
        <f>+K88*K84</f>
        <v>0</v>
      </c>
      <c r="L89" s="4">
        <f>+L88*L84</f>
        <v>14.874617737003057</v>
      </c>
    </row>
    <row r="90" spans="2:7" ht="12.75">
      <c r="B90" t="s">
        <v>56</v>
      </c>
      <c r="F90" s="3">
        <f>+POWER(F73,2)/19.62</f>
        <v>16.513761467889907</v>
      </c>
      <c r="G90" s="3">
        <f>+POWER(G73,2)/19.62</f>
        <v>16.513761467889907</v>
      </c>
    </row>
    <row r="91" spans="2:7" ht="12.75">
      <c r="B91" t="s">
        <v>57</v>
      </c>
      <c r="C91" t="s">
        <v>67</v>
      </c>
      <c r="F91" s="4">
        <f>+F90*F86</f>
        <v>18.825688073394492</v>
      </c>
      <c r="G91" s="4">
        <f>+G90*G86</f>
        <v>20.146788990825687</v>
      </c>
    </row>
    <row r="92" ht="12.75">
      <c r="B92" t="s">
        <v>58</v>
      </c>
    </row>
    <row r="93" spans="2:12" ht="12.75">
      <c r="B93" t="s">
        <v>90</v>
      </c>
      <c r="E93">
        <v>0.18</v>
      </c>
      <c r="H93" s="5">
        <f>0.02*H73*H84*POWER(H71,2)/(2*9.8*H72)</f>
        <v>13.439916766033203</v>
      </c>
      <c r="I93" s="5">
        <f>0.02*I73*I84*POWER(I71,2)/(2*9.8*I72)</f>
        <v>3.5919688460896486</v>
      </c>
      <c r="J93" s="5">
        <f>0.02*J73*J84*POWER(J71,2)/(2*9.8*J72)</f>
        <v>2.394645897393099</v>
      </c>
      <c r="K93" s="5">
        <v>150</v>
      </c>
      <c r="L93" s="5">
        <f>0.02*L73*L84*POWER(L71,2)/(2*9.8*L72)</f>
        <v>2.5679908917761165</v>
      </c>
    </row>
    <row r="94" spans="2:5" ht="12.75">
      <c r="B94">
        <v>60</v>
      </c>
      <c r="E94">
        <v>0.218</v>
      </c>
    </row>
    <row r="95" spans="2:7" ht="12.75">
      <c r="B95" t="s">
        <v>59</v>
      </c>
      <c r="F95" s="5">
        <f>0.02*F75*F86*POWER(F73,2)/(2*9.8*F74)</f>
        <v>6.335637522563234</v>
      </c>
      <c r="G95" s="5">
        <f>0.02*G75*G86*POWER(G73,2)/(2*9.8*G74)</f>
        <v>3.032217147565736</v>
      </c>
    </row>
    <row r="96" spans="2:3" ht="12.75">
      <c r="B96" t="s">
        <v>60</v>
      </c>
      <c r="C96" t="s">
        <v>67</v>
      </c>
    </row>
    <row r="98" spans="8:12" ht="12.75">
      <c r="H98" s="4">
        <f>+H89*0.18*H75</f>
        <v>3.3886238532110085</v>
      </c>
      <c r="I98">
        <f>+I89*0.18*I75</f>
        <v>0</v>
      </c>
      <c r="J98">
        <f>+J89*0.18*J75</f>
        <v>0</v>
      </c>
      <c r="K98">
        <f>+K89*0.18*K75</f>
        <v>0</v>
      </c>
      <c r="L98" s="3">
        <f>+L89*0.18*L75</f>
        <v>2.67743119266055</v>
      </c>
    </row>
    <row r="99" spans="8:12" ht="12.75">
      <c r="H99">
        <f>+H89*0.218*H76</f>
        <v>0</v>
      </c>
      <c r="I99" s="3">
        <f>+I89*0.218*I76</f>
        <v>4.103999999999999</v>
      </c>
      <c r="J99">
        <f>+J89*0.218*J76</f>
        <v>0</v>
      </c>
      <c r="K99">
        <f>+K89*0.218*K76</f>
        <v>0</v>
      </c>
      <c r="L99">
        <f>+L89*0.218*L76</f>
        <v>0</v>
      </c>
    </row>
    <row r="100" spans="2:7" ht="12.75">
      <c r="B100" t="s">
        <v>61</v>
      </c>
      <c r="C100" t="s">
        <v>67</v>
      </c>
      <c r="E100">
        <v>90</v>
      </c>
      <c r="F100">
        <f>+F91*0.18*F77</f>
        <v>0</v>
      </c>
      <c r="G100">
        <f>+G91*0.18*G77</f>
        <v>0</v>
      </c>
    </row>
    <row r="101" spans="5:12" ht="12.75">
      <c r="E101">
        <v>60</v>
      </c>
      <c r="F101">
        <f>+F91*0.218*F78</f>
        <v>0</v>
      </c>
      <c r="G101" s="3">
        <f>+G91*0.218*G78</f>
        <v>4.3919999999999995</v>
      </c>
      <c r="H101">
        <v>0.18</v>
      </c>
      <c r="I101">
        <v>0.09</v>
      </c>
      <c r="J101">
        <v>0.15</v>
      </c>
      <c r="L101">
        <v>0.14</v>
      </c>
    </row>
    <row r="102" spans="2:12" ht="12.75">
      <c r="B102" t="s">
        <v>62</v>
      </c>
      <c r="C102" t="s">
        <v>67</v>
      </c>
      <c r="H102" s="3">
        <f>+H101*H81/H74</f>
        <v>0.017459999999999996</v>
      </c>
      <c r="I102" s="3">
        <f>+I101*I81/I74</f>
        <v>0.00954</v>
      </c>
      <c r="J102" s="3"/>
      <c r="K102" s="3"/>
      <c r="L102" s="3"/>
    </row>
    <row r="103" spans="2:7" ht="12.75">
      <c r="B103" t="s">
        <v>91</v>
      </c>
      <c r="F103">
        <v>0.21</v>
      </c>
      <c r="G103">
        <v>0.09</v>
      </c>
    </row>
    <row r="104" spans="6:7" ht="12.75">
      <c r="F104" s="3">
        <f>+F103*F83/F76</f>
        <v>0.00987</v>
      </c>
      <c r="G104" s="3">
        <f>+G103*G83/G76</f>
        <v>0.0106</v>
      </c>
    </row>
    <row r="106" spans="2:13" ht="12.75">
      <c r="B106" t="s">
        <v>63</v>
      </c>
      <c r="C106" t="s">
        <v>67</v>
      </c>
      <c r="F106" s="8"/>
      <c r="H106" s="3">
        <f>+H93+H98+H99+H102</f>
        <v>16.84600061924421</v>
      </c>
      <c r="I106" s="3">
        <f>+I92+I98+I99+I102</f>
        <v>4.1135399999999995</v>
      </c>
      <c r="J106" s="3">
        <f>+J93+J98+J99+J102</f>
        <v>2.394645897393099</v>
      </c>
      <c r="K106" s="3">
        <v>150</v>
      </c>
      <c r="L106" s="3">
        <f>+L93+L98+L99+L102</f>
        <v>5.245422084436667</v>
      </c>
      <c r="M106" s="3"/>
    </row>
    <row r="107" spans="8:11" ht="12.75">
      <c r="H107" s="9"/>
      <c r="I107" s="9"/>
      <c r="J107" s="9"/>
      <c r="K107" s="9"/>
    </row>
    <row r="108" spans="6:11" ht="12.75">
      <c r="F108" s="3">
        <v>6.01</v>
      </c>
      <c r="G108" s="3">
        <f>+G94+G100+G101+G104</f>
        <v>4.4026</v>
      </c>
      <c r="H108" s="9"/>
      <c r="I108" s="9"/>
      <c r="J108" s="9"/>
      <c r="K108" s="9"/>
    </row>
    <row r="109" spans="2:11" ht="12.75">
      <c r="B109" s="9" t="s">
        <v>92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2:11" ht="12.75">
      <c r="B110" s="9" t="s">
        <v>93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2:11" ht="12.75">
      <c r="B111" s="9" t="s">
        <v>94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2:11" ht="12.75">
      <c r="B112" s="9" t="s">
        <v>95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 t="s">
        <v>96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 t="s">
        <v>97</v>
      </c>
      <c r="C114" s="9"/>
      <c r="D114" s="9"/>
      <c r="E114" s="9"/>
      <c r="F114" s="9"/>
      <c r="G114" s="9"/>
      <c r="H114" t="s">
        <v>44</v>
      </c>
      <c r="I114" t="s">
        <v>40</v>
      </c>
      <c r="K114" t="s">
        <v>99</v>
      </c>
    </row>
    <row r="115" spans="3:11" ht="12.75">
      <c r="C115" s="9" t="s">
        <v>98</v>
      </c>
      <c r="D115" s="9"/>
      <c r="E115" s="9"/>
      <c r="F115" s="9"/>
      <c r="G115" s="9"/>
      <c r="H115">
        <v>-200</v>
      </c>
      <c r="I115">
        <v>-5.25</v>
      </c>
      <c r="K115">
        <f>SUM(D115:J115)</f>
        <v>-205.25</v>
      </c>
    </row>
    <row r="116" spans="4:7" ht="12.75">
      <c r="D116">
        <v>1</v>
      </c>
      <c r="E116" s="1" t="s">
        <v>34</v>
      </c>
      <c r="F116" s="1" t="s">
        <v>38</v>
      </c>
      <c r="G116" t="s">
        <v>39</v>
      </c>
    </row>
    <row r="117" spans="3:11" ht="12.75">
      <c r="C117" t="s">
        <v>67</v>
      </c>
      <c r="D117">
        <v>-25</v>
      </c>
      <c r="E117">
        <v>-6</v>
      </c>
      <c r="F117">
        <v>-17</v>
      </c>
      <c r="G117">
        <v>-2.39</v>
      </c>
      <c r="H117" s="9"/>
      <c r="I117" s="9"/>
      <c r="J117" s="9"/>
      <c r="K117" s="9"/>
    </row>
    <row r="119" spans="3:7" ht="12.75">
      <c r="C119" s="9" t="s">
        <v>100</v>
      </c>
      <c r="D119" s="9"/>
      <c r="E119" s="9"/>
      <c r="F119" s="9"/>
      <c r="G119" s="9"/>
    </row>
    <row r="122" ht="12.75">
      <c r="G122" s="11" t="s">
        <v>102</v>
      </c>
    </row>
  </sheetData>
  <sheetProtection/>
  <mergeCells count="4">
    <mergeCell ref="B3:C3"/>
    <mergeCell ref="B7:F7"/>
    <mergeCell ref="B8:F8"/>
    <mergeCell ref="C5:I5"/>
  </mergeCells>
  <printOptions/>
  <pageMargins left="1.5" right="1.5" top="1.5" bottom="1" header="0.5" footer="0.5"/>
  <pageSetup horizontalDpi="600" verticalDpi="600" orientation="landscape" paperSize="9" r:id="rId2"/>
  <headerFooter alignWithMargins="0">
    <oddHeader>&amp;LDeolalkar  Consultants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B1">
      <selection activeCell="O32" sqref="O32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7.7109375" style="0" customWidth="1"/>
    <col min="5" max="5" width="12.7109375" style="0" customWidth="1"/>
  </cols>
  <sheetData>
    <row r="3" ht="12.75">
      <c r="J3" t="s">
        <v>68</v>
      </c>
    </row>
    <row r="5" spans="4:9" ht="12.75">
      <c r="D5" s="14" t="s">
        <v>69</v>
      </c>
      <c r="E5" s="14"/>
      <c r="F5" s="14"/>
      <c r="G5" s="14"/>
      <c r="H5" s="14"/>
      <c r="I5" s="14"/>
    </row>
    <row r="7" spans="1:13" ht="12.75">
      <c r="A7" t="s">
        <v>2</v>
      </c>
      <c r="B7" t="s">
        <v>3</v>
      </c>
      <c r="C7" t="s">
        <v>4</v>
      </c>
      <c r="D7" t="s">
        <v>5</v>
      </c>
      <c r="E7" t="s">
        <v>70</v>
      </c>
      <c r="G7">
        <v>1</v>
      </c>
      <c r="H7">
        <v>2</v>
      </c>
      <c r="I7">
        <v>3</v>
      </c>
      <c r="J7">
        <v>4</v>
      </c>
      <c r="K7">
        <v>5</v>
      </c>
      <c r="L7">
        <v>6</v>
      </c>
      <c r="M7">
        <v>7</v>
      </c>
    </row>
    <row r="8" spans="7:13" ht="12.75">
      <c r="G8" s="1" t="s">
        <v>34</v>
      </c>
      <c r="H8" s="1" t="s">
        <v>35</v>
      </c>
      <c r="I8" t="s">
        <v>38</v>
      </c>
      <c r="J8" t="s">
        <v>36</v>
      </c>
      <c r="K8" t="s">
        <v>39</v>
      </c>
      <c r="L8" t="s">
        <v>44</v>
      </c>
      <c r="M8" t="s">
        <v>40</v>
      </c>
    </row>
    <row r="10" spans="2:13" ht="12.75">
      <c r="B10" t="s">
        <v>26</v>
      </c>
      <c r="D10" t="s">
        <v>21</v>
      </c>
      <c r="E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2" spans="2:13" ht="14.25">
      <c r="B12" t="s">
        <v>71</v>
      </c>
      <c r="D12" s="6" t="s">
        <v>72</v>
      </c>
      <c r="E12">
        <v>35</v>
      </c>
      <c r="G12">
        <v>100</v>
      </c>
      <c r="H12">
        <v>60</v>
      </c>
      <c r="I12">
        <v>90</v>
      </c>
      <c r="J12">
        <v>60</v>
      </c>
      <c r="K12">
        <v>80</v>
      </c>
      <c r="L12">
        <v>80</v>
      </c>
      <c r="M12">
        <v>75</v>
      </c>
    </row>
    <row r="13" ht="14.25">
      <c r="F13" s="6"/>
    </row>
    <row r="14" ht="12.75">
      <c r="B14" t="s">
        <v>73</v>
      </c>
    </row>
    <row r="15" spans="2:5" ht="12.75">
      <c r="B15" t="s">
        <v>74</v>
      </c>
      <c r="E15" t="s">
        <v>28</v>
      </c>
    </row>
    <row r="16" spans="2:13" ht="14.25">
      <c r="B16" t="s">
        <v>75</v>
      </c>
      <c r="D16" t="s">
        <v>65</v>
      </c>
      <c r="E16">
        <v>1.29</v>
      </c>
      <c r="G16">
        <v>1.29</v>
      </c>
      <c r="H16">
        <v>1.29</v>
      </c>
      <c r="I16">
        <v>1.29</v>
      </c>
      <c r="J16">
        <v>1.29</v>
      </c>
      <c r="K16">
        <v>1.29</v>
      </c>
      <c r="L16">
        <v>1.29</v>
      </c>
      <c r="M16">
        <v>1.29</v>
      </c>
    </row>
    <row r="18" spans="2:5" ht="12.75">
      <c r="B18" t="s">
        <v>76</v>
      </c>
      <c r="E18" t="s">
        <v>30</v>
      </c>
    </row>
    <row r="19" spans="2:13" ht="14.25">
      <c r="B19" t="s">
        <v>31</v>
      </c>
      <c r="D19" t="s">
        <v>65</v>
      </c>
      <c r="E19">
        <v>960</v>
      </c>
      <c r="G19">
        <v>960</v>
      </c>
      <c r="H19">
        <v>960</v>
      </c>
      <c r="I19">
        <v>960</v>
      </c>
      <c r="J19">
        <v>960</v>
      </c>
      <c r="K19">
        <v>960</v>
      </c>
      <c r="L19">
        <v>960</v>
      </c>
      <c r="M19">
        <v>960</v>
      </c>
    </row>
    <row r="21" spans="2:13" ht="12.75">
      <c r="B21" t="s">
        <v>78</v>
      </c>
      <c r="G21" s="3">
        <f>273/(273+G12)</f>
        <v>0.7319034852546917</v>
      </c>
      <c r="H21" s="3">
        <f aca="true" t="shared" si="0" ref="H21:M21">273/(273+H12)</f>
        <v>0.8198198198198198</v>
      </c>
      <c r="I21" s="3">
        <f t="shared" si="0"/>
        <v>0.7520661157024794</v>
      </c>
      <c r="J21" s="3">
        <f t="shared" si="0"/>
        <v>0.8198198198198198</v>
      </c>
      <c r="K21" s="3">
        <f t="shared" si="0"/>
        <v>0.773371104815864</v>
      </c>
      <c r="L21" s="3">
        <f t="shared" si="0"/>
        <v>0.773371104815864</v>
      </c>
      <c r="M21" s="3">
        <f t="shared" si="0"/>
        <v>0.7844827586206896</v>
      </c>
    </row>
    <row r="22" spans="2:13" ht="12.75">
      <c r="B22" t="s">
        <v>79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</row>
    <row r="23" spans="2:13" ht="12.75">
      <c r="B23" t="s">
        <v>80</v>
      </c>
      <c r="G23" s="3">
        <f>+G21*G22</f>
        <v>0.7319034852546917</v>
      </c>
      <c r="H23" s="3">
        <f aca="true" t="shared" si="1" ref="H23:M23">+H21*H22</f>
        <v>0.8198198198198198</v>
      </c>
      <c r="I23" s="3">
        <f t="shared" si="1"/>
        <v>0.7520661157024794</v>
      </c>
      <c r="J23" s="3">
        <f t="shared" si="1"/>
        <v>0.8198198198198198</v>
      </c>
      <c r="K23" s="3">
        <f t="shared" si="1"/>
        <v>0.773371104815864</v>
      </c>
      <c r="L23" s="3">
        <f t="shared" si="1"/>
        <v>0.773371104815864</v>
      </c>
      <c r="M23" s="3">
        <f t="shared" si="1"/>
        <v>0.7844827586206896</v>
      </c>
    </row>
    <row r="25" spans="2:13" ht="14.25">
      <c r="B25" t="s">
        <v>81</v>
      </c>
      <c r="D25" t="s">
        <v>65</v>
      </c>
      <c r="G25" s="3">
        <f>+G16*G23</f>
        <v>0.9441554959785523</v>
      </c>
      <c r="H25" s="3">
        <f aca="true" t="shared" si="2" ref="H25:M25">+H16*H23</f>
        <v>1.0575675675675675</v>
      </c>
      <c r="I25" s="3">
        <f t="shared" si="2"/>
        <v>0.9701652892561984</v>
      </c>
      <c r="J25" s="3">
        <f t="shared" si="2"/>
        <v>1.0575675675675675</v>
      </c>
      <c r="K25" s="3">
        <f t="shared" si="2"/>
        <v>0.9976487252124646</v>
      </c>
      <c r="L25" s="3">
        <f t="shared" si="2"/>
        <v>0.9976487252124646</v>
      </c>
      <c r="M25" s="3">
        <f t="shared" si="2"/>
        <v>1.0119827586206895</v>
      </c>
    </row>
    <row r="27" spans="2:13" ht="14.25">
      <c r="B27" t="s">
        <v>82</v>
      </c>
      <c r="D27" t="s">
        <v>83</v>
      </c>
      <c r="G27" s="3">
        <f>1/G25</f>
        <v>1.0591475707754778</v>
      </c>
      <c r="H27" s="3">
        <f aca="true" t="shared" si="3" ref="H27:M27">1/H25</f>
        <v>0.9455660618451316</v>
      </c>
      <c r="I27" s="3">
        <f t="shared" si="3"/>
        <v>1.0307521935428912</v>
      </c>
      <c r="J27" s="3">
        <f t="shared" si="3"/>
        <v>0.9455660618451316</v>
      </c>
      <c r="K27" s="3">
        <f t="shared" si="3"/>
        <v>1.0023568163103047</v>
      </c>
      <c r="L27" s="3">
        <f t="shared" si="3"/>
        <v>1.0023568163103047</v>
      </c>
      <c r="M27" s="3">
        <f t="shared" si="3"/>
        <v>0.9881591276940115</v>
      </c>
    </row>
    <row r="29" ht="12.75">
      <c r="B29" t="s">
        <v>24</v>
      </c>
    </row>
    <row r="30" spans="2:13" ht="14.25">
      <c r="B30" t="s">
        <v>84</v>
      </c>
      <c r="D30" t="s">
        <v>66</v>
      </c>
      <c r="G30">
        <v>200</v>
      </c>
      <c r="H30">
        <v>100</v>
      </c>
      <c r="I30" s="5">
        <f>+(14.64*200+4.1*100)/(14.64+4.1)</f>
        <v>178.12166488794023</v>
      </c>
      <c r="J30">
        <v>100</v>
      </c>
      <c r="K30" s="5">
        <f>+(178*18.8+100*8.2)/27.07</f>
        <v>153.9120797931289</v>
      </c>
      <c r="M30" s="5">
        <f>154*27.07/29.81</f>
        <v>139.8450184501845</v>
      </c>
    </row>
    <row r="32" spans="2:15" ht="14.25">
      <c r="B32" t="s">
        <v>85</v>
      </c>
      <c r="D32" t="s">
        <v>18</v>
      </c>
      <c r="G32">
        <v>20</v>
      </c>
      <c r="H32">
        <v>5</v>
      </c>
      <c r="I32">
        <v>25</v>
      </c>
      <c r="J32">
        <v>10</v>
      </c>
      <c r="K32">
        <v>35</v>
      </c>
      <c r="L32">
        <v>35</v>
      </c>
      <c r="M32">
        <v>38</v>
      </c>
      <c r="O32" s="3"/>
    </row>
    <row r="34" spans="2:13" ht="14.25">
      <c r="B34" t="s">
        <v>86</v>
      </c>
      <c r="D34" t="s">
        <v>87</v>
      </c>
      <c r="G34" s="3">
        <f>+G32*G21</f>
        <v>14.638069705093834</v>
      </c>
      <c r="H34" s="3">
        <f aca="true" t="shared" si="4" ref="H34:M34">+H32*H21</f>
        <v>4.0990990990990985</v>
      </c>
      <c r="I34" s="3">
        <f t="shared" si="4"/>
        <v>18.801652892561986</v>
      </c>
      <c r="J34" s="3">
        <f t="shared" si="4"/>
        <v>8.198198198198197</v>
      </c>
      <c r="K34" s="3">
        <f t="shared" si="4"/>
        <v>27.06798866855524</v>
      </c>
      <c r="L34" s="3">
        <f t="shared" si="4"/>
        <v>27.06798866855524</v>
      </c>
      <c r="M34" s="3">
        <f t="shared" si="4"/>
        <v>29.810344827586206</v>
      </c>
    </row>
    <row r="37" spans="2:13" ht="12.75">
      <c r="B37" t="s">
        <v>88</v>
      </c>
      <c r="G37">
        <f>+((200/1000)+0.94)</f>
        <v>1.14</v>
      </c>
      <c r="H37" s="3">
        <f>+(0.1+1.06)/((0.1/960)+0.95)</f>
        <v>1.2209187589080146</v>
      </c>
      <c r="I37">
        <f>+((200/1000)+0.94)</f>
        <v>1.14</v>
      </c>
      <c r="J37">
        <f>+((200/1000)+0.94)</f>
        <v>1.14</v>
      </c>
      <c r="K37">
        <f>+((200/1000)+0.94)</f>
        <v>1.14</v>
      </c>
      <c r="L37">
        <f>+((200/1000)+0.94)</f>
        <v>1.14</v>
      </c>
      <c r="M37">
        <f>+((200/1000)+0.94)</f>
        <v>1.14</v>
      </c>
    </row>
    <row r="38" spans="2:4" ht="14.25">
      <c r="B38" t="s">
        <v>89</v>
      </c>
      <c r="D38" t="s">
        <v>65</v>
      </c>
    </row>
    <row r="40" spans="2:13" ht="12.75">
      <c r="B40" t="s">
        <v>58</v>
      </c>
      <c r="G40" s="3">
        <f>+G30/(1000*G25)</f>
        <v>0.21182951415509554</v>
      </c>
      <c r="H40" s="3">
        <f aca="true" t="shared" si="5" ref="H40:M40">+H30/(1000*H25)</f>
        <v>0.09455660618451317</v>
      </c>
      <c r="I40" s="3">
        <f t="shared" si="5"/>
        <v>0.18359929680075615</v>
      </c>
      <c r="J40" s="3">
        <f t="shared" si="5"/>
        <v>0.09455660618451317</v>
      </c>
      <c r="K40" s="3">
        <f t="shared" si="5"/>
        <v>0.15427482229313827</v>
      </c>
      <c r="L40" s="3">
        <f t="shared" si="5"/>
        <v>0</v>
      </c>
      <c r="M40" s="3">
        <f t="shared" si="5"/>
        <v>0.1381891314440873</v>
      </c>
    </row>
  </sheetData>
  <sheetProtection/>
  <mergeCells count="1">
    <mergeCell ref="D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Deolalkar</dc:creator>
  <cp:keywords/>
  <dc:description/>
  <cp:lastModifiedBy>Deolalkar</cp:lastModifiedBy>
  <cp:lastPrinted>2010-08-25T03:53:31Z</cp:lastPrinted>
  <dcterms:created xsi:type="dcterms:W3CDTF">2010-08-23T04:30:39Z</dcterms:created>
  <dcterms:modified xsi:type="dcterms:W3CDTF">2019-08-19T04:25:43Z</dcterms:modified>
  <cp:category/>
  <cp:version/>
  <cp:contentType/>
  <cp:contentStatus/>
</cp:coreProperties>
</file>